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98" documentId="13_ncr:1_{875B0535-35C9-4B64-8981-821BFD8FB8F3}" xr6:coauthVersionLast="47" xr6:coauthVersionMax="47" xr10:uidLastSave="{25650FD7-48B4-4B19-8291-E90EFB7DEBE3}"/>
  <bookViews>
    <workbookView xWindow="-120" yWindow="-120" windowWidth="29040" windowHeight="17520" xr2:uid="{00000000-000D-0000-FFFF-FFFF00000000}"/>
  </bookViews>
  <sheets>
    <sheet name="Příklad-Example 1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23" i="1" l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H5" i="1"/>
  <c r="H6" i="1"/>
  <c r="H7" i="1"/>
  <c r="H8" i="1"/>
  <c r="H9" i="1"/>
  <c r="H10" i="1"/>
  <c r="H11" i="1"/>
  <c r="H12" i="1"/>
  <c r="H13" i="1"/>
  <c r="H4" i="1"/>
  <c r="H15" i="1" s="1"/>
  <c r="D15" i="1"/>
  <c r="E15" i="1"/>
  <c r="F15" i="1"/>
  <c r="C15" i="1"/>
  <c r="E20" i="1"/>
  <c r="E19" i="1"/>
  <c r="D19" i="1"/>
  <c r="E18" i="1"/>
  <c r="D18" i="1"/>
  <c r="C18" i="1"/>
  <c r="K23" i="1"/>
  <c r="K22" i="1"/>
  <c r="D14" i="1"/>
  <c r="E14" i="1"/>
  <c r="F14" i="1"/>
  <c r="C14" i="1"/>
  <c r="G5" i="1"/>
  <c r="G6" i="1"/>
  <c r="G7" i="1"/>
  <c r="G8" i="1"/>
  <c r="G9" i="1"/>
  <c r="G10" i="1"/>
  <c r="G11" i="1"/>
  <c r="G12" i="1"/>
  <c r="G13" i="1"/>
  <c r="G4" i="1"/>
  <c r="L9" i="1"/>
  <c r="K5" i="1"/>
  <c r="K4" i="1"/>
  <c r="K9" i="1" l="1"/>
  <c r="K11" i="1"/>
  <c r="K7" i="1"/>
  <c r="L23" i="1" s="1"/>
  <c r="K10" i="1"/>
  <c r="K8" i="1"/>
  <c r="K6" i="1"/>
  <c r="L22" i="1" s="1"/>
  <c r="G14" i="1"/>
  <c r="K12" i="1" s="1"/>
  <c r="K15" i="1" s="1"/>
  <c r="K13" i="1" l="1"/>
  <c r="M22" i="1"/>
  <c r="M23" i="1" s="1"/>
  <c r="K14" i="1"/>
  <c r="K16" i="1" l="1"/>
  <c r="K18" i="1" l="1"/>
  <c r="K28" i="1" s="1"/>
  <c r="C37" i="1"/>
  <c r="C38" i="1" s="1"/>
  <c r="K19" i="1"/>
  <c r="K29" i="1" s="1"/>
  <c r="E38" i="1" l="1"/>
  <c r="D38" i="1"/>
</calcChain>
</file>

<file path=xl/sharedStrings.xml><?xml version="1.0" encoding="utf-8"?>
<sst xmlns="http://schemas.openxmlformats.org/spreadsheetml/2006/main" count="116" uniqueCount="103">
  <si>
    <t>Data:</t>
  </si>
  <si>
    <t>Osoba</t>
  </si>
  <si>
    <t>K</t>
  </si>
  <si>
    <t>A</t>
  </si>
  <si>
    <t>B</t>
  </si>
  <si>
    <t>C</t>
  </si>
  <si>
    <t>Faktory</t>
  </si>
  <si>
    <t>Faktor</t>
  </si>
  <si>
    <t>Počet</t>
  </si>
  <si>
    <t>Součet</t>
  </si>
  <si>
    <t>Průměr</t>
  </si>
  <si>
    <t>Rozptyl</t>
  </si>
  <si>
    <t>Sloupec 1</t>
  </si>
  <si>
    <t>Sloupec 2</t>
  </si>
  <si>
    <t>ANOVA</t>
  </si>
  <si>
    <t>Zdroj variability</t>
  </si>
  <si>
    <t>SS</t>
  </si>
  <si>
    <t>Rozdíl</t>
  </si>
  <si>
    <t>MS</t>
  </si>
  <si>
    <t>F</t>
  </si>
  <si>
    <t>Hodnota P</t>
  </si>
  <si>
    <t>F krit</t>
  </si>
  <si>
    <t>Celkem</t>
  </si>
  <si>
    <t>Sloupec 3</t>
  </si>
  <si>
    <t>Sloupec 4</t>
  </si>
  <si>
    <t>Rozdíly průměrů trombinového času</t>
  </si>
  <si>
    <t>Anova: dva faktory bez opakování</t>
  </si>
  <si>
    <t>Řádek 1</t>
  </si>
  <si>
    <t>Řádek 2</t>
  </si>
  <si>
    <t>Řádek 3</t>
  </si>
  <si>
    <t>Řádek 4</t>
  </si>
  <si>
    <t>Řádek 5</t>
  </si>
  <si>
    <t>Řádek 6</t>
  </si>
  <si>
    <t>Řádek 7</t>
  </si>
  <si>
    <t>Řádek 8</t>
  </si>
  <si>
    <t>Řádek 9</t>
  </si>
  <si>
    <t>Řádek 10</t>
  </si>
  <si>
    <t>Řádky</t>
  </si>
  <si>
    <t>Sloupce</t>
  </si>
  <si>
    <t>Chyba</t>
  </si>
  <si>
    <t>p-1</t>
  </si>
  <si>
    <t>q-1</t>
  </si>
  <si>
    <t>N=p*p</t>
  </si>
  <si>
    <t>Součet čtverců</t>
  </si>
  <si>
    <t>stupně volnosti</t>
  </si>
  <si>
    <t>pro řádky i sloupce</t>
  </si>
  <si>
    <t>Průměry</t>
  </si>
  <si>
    <t>Kritická hodnota</t>
  </si>
  <si>
    <t>stud. rozd.</t>
  </si>
  <si>
    <t>4; 27</t>
  </si>
  <si>
    <t>Odmocnina 1/10</t>
  </si>
  <si>
    <t>odmocnina s^2</t>
  </si>
  <si>
    <t>nestr. odhad rozpt.</t>
  </si>
  <si>
    <t>Anova: Two-Factor Without Replication</t>
  </si>
  <si>
    <t>SUMMARY</t>
  </si>
  <si>
    <t>Count</t>
  </si>
  <si>
    <t>Sum</t>
  </si>
  <si>
    <t>Average</t>
  </si>
  <si>
    <t>Variance</t>
  </si>
  <si>
    <t>Row 1</t>
  </si>
  <si>
    <t>Row 2</t>
  </si>
  <si>
    <t>Row 3</t>
  </si>
  <si>
    <t>Row 4</t>
  </si>
  <si>
    <t>Row 5</t>
  </si>
  <si>
    <t>Row 6</t>
  </si>
  <si>
    <t>Row 7</t>
  </si>
  <si>
    <t>Row 8</t>
  </si>
  <si>
    <t>Row 9</t>
  </si>
  <si>
    <t>Row 10</t>
  </si>
  <si>
    <t>Column 1</t>
  </si>
  <si>
    <t>Column 2</t>
  </si>
  <si>
    <t>Column 3</t>
  </si>
  <si>
    <t>Column 4</t>
  </si>
  <si>
    <t>Source of Variation</t>
  </si>
  <si>
    <t>df</t>
  </si>
  <si>
    <t>P-value</t>
  </si>
  <si>
    <t>F crit</t>
  </si>
  <si>
    <t>Rows</t>
  </si>
  <si>
    <t>Columns</t>
  </si>
  <si>
    <t>Error</t>
  </si>
  <si>
    <t>Total</t>
  </si>
  <si>
    <t>Počet řádků/Number of rows (p)</t>
  </si>
  <si>
    <t>Počet sloupců/Number of columns (q)</t>
  </si>
  <si>
    <t>Součet čtverců/Sum of squares</t>
  </si>
  <si>
    <t>Součet řádkových čtverců/Row sum of squares</t>
  </si>
  <si>
    <t>Součet sloupc. čtverců/Column sum of squares</t>
  </si>
  <si>
    <t>Celkový součet/Total sum T</t>
  </si>
  <si>
    <t>S_i součet řádkový/Row sum</t>
  </si>
  <si>
    <t>S_j součet sloupcový/Column sum</t>
  </si>
  <si>
    <t>Celkový součet/Total sum</t>
  </si>
  <si>
    <t>S_r součet reziduálních čtverců/Residual sum of squares</t>
  </si>
  <si>
    <t>F statistika pro řádky/F statistic for rows</t>
  </si>
  <si>
    <t>F sttistika pro sloupce/F statistic for columns</t>
  </si>
  <si>
    <t>Degrees of freedom</t>
  </si>
  <si>
    <t>Kritická hodnota pro řádky/Critical value for rows</t>
  </si>
  <si>
    <t>Kritická hodnota pro sloupce/Critical value for columns</t>
  </si>
  <si>
    <t>for both rows and columns</t>
  </si>
  <si>
    <t>p-hodnota pro řádky/p-value for rows</t>
  </si>
  <si>
    <t>p-hodnota pro sloupce/p-value for columns</t>
  </si>
  <si>
    <t>p &lt; 0.05 =&gt; We reject H_0.</t>
  </si>
  <si>
    <t>p&lt;0.05 =&gt; Zamítáme H_0.</t>
  </si>
  <si>
    <t>F stat.&gt; krit.hodnota =&gt; Zamítáme H_0.</t>
  </si>
  <si>
    <t>F stat. &gt; critical value =&gt; We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</si>
</sst>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58"/>
  <sheetViews>
    <sheetView tabSelected="1" topLeftCell="I1" workbookViewId="0">
      <selection activeCell="I1" sqref="I1"/>
    </sheetView>
  </sheetViews>
  <sheetFormatPr defaultColWidth="12.28515625" defaultRowHeight="15" x14ac:dyDescent="0.25"/>
  <cols>
    <col min="1" max="1" width="7.42578125" style="3" customWidth="1"/>
    <col min="2" max="2" width="15.7109375" style="3" customWidth="1"/>
    <col min="3" max="7" width="12.28515625" style="3"/>
    <col min="8" max="8" width="9.5703125" style="3" customWidth="1"/>
    <col min="9" max="9" width="53.7109375" style="2" customWidth="1"/>
    <col min="10" max="10" width="3.42578125" style="2" customWidth="1"/>
    <col min="11" max="11" width="12.28515625" style="3"/>
    <col min="12" max="12" width="18.5703125" style="3" customWidth="1"/>
    <col min="13" max="13" width="12.28515625" style="3"/>
    <col min="14" max="14" width="17.5703125" style="3" customWidth="1"/>
    <col min="15" max="18" width="12.28515625" style="3"/>
    <col min="19" max="19" width="15.85546875" style="3" customWidth="1"/>
    <col min="20" max="16384" width="12.28515625" style="3"/>
  </cols>
  <sheetData>
    <row r="2" spans="2:32" x14ac:dyDescent="0.25">
      <c r="B2" s="3" t="s">
        <v>0</v>
      </c>
      <c r="D2" s="3" t="s">
        <v>6</v>
      </c>
    </row>
    <row r="3" spans="2:32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9</v>
      </c>
      <c r="H3" s="3" t="s">
        <v>46</v>
      </c>
      <c r="N3" s="4" t="s">
        <v>26</v>
      </c>
      <c r="O3" s="4"/>
      <c r="P3" s="4"/>
      <c r="Q3" s="4"/>
      <c r="R3" s="4"/>
      <c r="S3" s="4"/>
      <c r="T3" s="4"/>
      <c r="Z3" s="4"/>
      <c r="AA3" s="4"/>
      <c r="AB3" s="4"/>
      <c r="AC3" s="4"/>
      <c r="AD3" s="4"/>
      <c r="AE3" s="4"/>
      <c r="AF3" s="4"/>
    </row>
    <row r="4" spans="2:32" ht="15.75" thickBot="1" x14ac:dyDescent="0.3">
      <c r="B4" s="3">
        <v>1</v>
      </c>
      <c r="C4" s="5">
        <v>11.3</v>
      </c>
      <c r="D4" s="5">
        <v>11.2</v>
      </c>
      <c r="E4" s="5">
        <v>11.4</v>
      </c>
      <c r="F4" s="5">
        <v>11</v>
      </c>
      <c r="G4" s="6">
        <f>SUM(C4:F4)</f>
        <v>44.9</v>
      </c>
      <c r="H4" s="7">
        <f>AVERAGE(C4:F4)</f>
        <v>11.225</v>
      </c>
      <c r="I4" s="8" t="s">
        <v>81</v>
      </c>
      <c r="J4" s="8"/>
      <c r="K4" s="9">
        <f>COUNT(B4:B13)</f>
        <v>10</v>
      </c>
      <c r="L4" s="6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2:32" x14ac:dyDescent="0.25">
      <c r="B5" s="3">
        <v>2</v>
      </c>
      <c r="C5" s="5">
        <v>11.9</v>
      </c>
      <c r="D5" s="5">
        <v>12.1</v>
      </c>
      <c r="E5" s="5">
        <v>11.8</v>
      </c>
      <c r="F5" s="5">
        <v>9.5</v>
      </c>
      <c r="G5" s="6">
        <f t="shared" ref="G5:G14" si="0">SUM(C5:F5)</f>
        <v>45.3</v>
      </c>
      <c r="H5" s="7">
        <f t="shared" ref="H5:H13" si="1">AVERAGE(C5:F5)</f>
        <v>11.324999999999999</v>
      </c>
      <c r="I5" s="8" t="s">
        <v>82</v>
      </c>
      <c r="J5" s="8"/>
      <c r="K5" s="9">
        <f>COUNT(C4:F4)</f>
        <v>4</v>
      </c>
      <c r="L5" s="6"/>
      <c r="M5" s="6"/>
      <c r="N5" s="10" t="s">
        <v>7</v>
      </c>
      <c r="O5" s="10" t="s">
        <v>8</v>
      </c>
      <c r="P5" s="10" t="s">
        <v>9</v>
      </c>
      <c r="Q5" s="10" t="s">
        <v>10</v>
      </c>
      <c r="R5" s="10" t="s">
        <v>11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2:32" x14ac:dyDescent="0.25">
      <c r="B6" s="3">
        <v>3</v>
      </c>
      <c r="C6" s="5">
        <v>11.8</v>
      </c>
      <c r="D6" s="5">
        <v>13.2</v>
      </c>
      <c r="E6" s="5">
        <v>12</v>
      </c>
      <c r="F6" s="5">
        <v>11.1</v>
      </c>
      <c r="G6" s="6">
        <f t="shared" si="0"/>
        <v>48.1</v>
      </c>
      <c r="H6" s="7">
        <f t="shared" si="1"/>
        <v>12.025</v>
      </c>
      <c r="I6" s="8" t="s">
        <v>40</v>
      </c>
      <c r="J6" s="8"/>
      <c r="K6" s="9">
        <f>K4-1</f>
        <v>9</v>
      </c>
      <c r="L6" s="6"/>
      <c r="M6" s="6"/>
      <c r="N6" s="4" t="s">
        <v>27</v>
      </c>
      <c r="O6" s="4">
        <v>4</v>
      </c>
      <c r="P6" s="4">
        <v>44.9</v>
      </c>
      <c r="Q6" s="4">
        <v>11.225</v>
      </c>
      <c r="R6" s="4">
        <v>2.9166666666666757E-2</v>
      </c>
      <c r="S6" s="4"/>
      <c r="T6" s="4"/>
      <c r="U6" s="4"/>
      <c r="V6" s="4"/>
      <c r="W6" s="4"/>
      <c r="X6" s="4"/>
      <c r="Y6" s="4"/>
      <c r="Z6" s="11"/>
      <c r="AA6" s="11"/>
      <c r="AB6" s="11"/>
      <c r="AC6" s="11"/>
      <c r="AD6" s="11"/>
      <c r="AE6" s="4"/>
      <c r="AF6" s="4"/>
    </row>
    <row r="7" spans="2:32" x14ac:dyDescent="0.25">
      <c r="B7" s="3">
        <v>4</v>
      </c>
      <c r="C7" s="5">
        <v>12.1</v>
      </c>
      <c r="D7" s="5">
        <v>12.8</v>
      </c>
      <c r="E7" s="5">
        <v>12</v>
      </c>
      <c r="F7" s="5">
        <v>12.5</v>
      </c>
      <c r="G7" s="6">
        <f t="shared" si="0"/>
        <v>49.4</v>
      </c>
      <c r="H7" s="7">
        <f t="shared" si="1"/>
        <v>12.35</v>
      </c>
      <c r="I7" s="8" t="s">
        <v>41</v>
      </c>
      <c r="J7" s="8"/>
      <c r="K7" s="9">
        <f>K5-1</f>
        <v>3</v>
      </c>
      <c r="L7" s="6"/>
      <c r="M7" s="6"/>
      <c r="N7" s="4" t="s">
        <v>28</v>
      </c>
      <c r="O7" s="4">
        <v>4</v>
      </c>
      <c r="P7" s="4">
        <v>45.3</v>
      </c>
      <c r="Q7" s="4">
        <v>11.324999999999999</v>
      </c>
      <c r="R7" s="4">
        <v>1.4958333333333336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2:32" x14ac:dyDescent="0.25">
      <c r="B8" s="3">
        <v>5</v>
      </c>
      <c r="C8" s="5">
        <v>11.2</v>
      </c>
      <c r="D8" s="5">
        <v>13.5</v>
      </c>
      <c r="E8" s="5">
        <v>11.5</v>
      </c>
      <c r="F8" s="5">
        <v>8.4</v>
      </c>
      <c r="G8" s="6">
        <f t="shared" si="0"/>
        <v>44.6</v>
      </c>
      <c r="H8" s="7">
        <f t="shared" si="1"/>
        <v>11.15</v>
      </c>
      <c r="I8" s="8" t="s">
        <v>42</v>
      </c>
      <c r="J8" s="8"/>
      <c r="K8" s="9">
        <f>K4*K5</f>
        <v>40</v>
      </c>
      <c r="L8" s="6"/>
      <c r="M8" s="6"/>
      <c r="N8" s="4" t="s">
        <v>29</v>
      </c>
      <c r="O8" s="4">
        <v>4</v>
      </c>
      <c r="P8" s="4">
        <v>48.1</v>
      </c>
      <c r="Q8" s="4">
        <v>12.025</v>
      </c>
      <c r="R8" s="4">
        <v>0.76249999999999962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2:32" x14ac:dyDescent="0.25">
      <c r="B9" s="3">
        <v>6</v>
      </c>
      <c r="C9" s="5">
        <v>11.3</v>
      </c>
      <c r="D9" s="5">
        <v>12.5</v>
      </c>
      <c r="E9" s="5">
        <v>11.5</v>
      </c>
      <c r="F9" s="5">
        <v>9</v>
      </c>
      <c r="G9" s="6">
        <f t="shared" si="0"/>
        <v>44.3</v>
      </c>
      <c r="H9" s="7">
        <f t="shared" si="1"/>
        <v>11.074999999999999</v>
      </c>
      <c r="I9" s="8" t="s">
        <v>83</v>
      </c>
      <c r="J9" s="8"/>
      <c r="K9" s="6">
        <f>SUM(C23:F32)</f>
        <v>5288.2199999999993</v>
      </c>
      <c r="L9" s="6">
        <f>SUMSQ(C4:F13)</f>
        <v>5288.2199999999993</v>
      </c>
      <c r="M9" s="6"/>
      <c r="N9" s="4" t="s">
        <v>30</v>
      </c>
      <c r="O9" s="4">
        <v>4</v>
      </c>
      <c r="P9" s="4">
        <v>49.4</v>
      </c>
      <c r="Q9" s="4">
        <v>12.35</v>
      </c>
      <c r="R9" s="4">
        <v>0.13666666666666696</v>
      </c>
      <c r="S9" s="4"/>
      <c r="T9" s="4"/>
      <c r="U9" s="11"/>
      <c r="V9" s="11"/>
      <c r="W9" s="11"/>
      <c r="X9" s="4"/>
      <c r="Y9" s="4"/>
      <c r="Z9" s="4"/>
      <c r="AA9" s="4"/>
      <c r="AB9" s="4"/>
      <c r="AC9" s="4"/>
      <c r="AD9" s="4"/>
      <c r="AE9" s="4"/>
      <c r="AF9" s="4"/>
    </row>
    <row r="10" spans="2:32" x14ac:dyDescent="0.25">
      <c r="B10" s="3">
        <v>7</v>
      </c>
      <c r="C10" s="5">
        <v>10.8</v>
      </c>
      <c r="D10" s="5">
        <v>10.7</v>
      </c>
      <c r="E10" s="5">
        <v>10.9</v>
      </c>
      <c r="F10" s="5">
        <v>9.6999999999999993</v>
      </c>
      <c r="G10" s="6">
        <f t="shared" si="0"/>
        <v>42.099999999999994</v>
      </c>
      <c r="H10" s="7">
        <f t="shared" si="1"/>
        <v>10.524999999999999</v>
      </c>
      <c r="I10" s="8" t="s">
        <v>84</v>
      </c>
      <c r="J10" s="8"/>
      <c r="K10" s="9">
        <f>SUMSQ(G4:G13)</f>
        <v>20979.899999999998</v>
      </c>
      <c r="L10" s="6"/>
      <c r="M10" s="6"/>
      <c r="N10" s="4" t="s">
        <v>31</v>
      </c>
      <c r="O10" s="4">
        <v>4</v>
      </c>
      <c r="P10" s="4">
        <v>44.6</v>
      </c>
      <c r="Q10" s="4">
        <v>11.15</v>
      </c>
      <c r="R10" s="4">
        <v>4.4033333333333262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2:32" x14ac:dyDescent="0.25">
      <c r="B11" s="3">
        <v>8</v>
      </c>
      <c r="C11" s="5">
        <v>12</v>
      </c>
      <c r="D11" s="5">
        <v>13.8</v>
      </c>
      <c r="E11" s="5">
        <v>11.6</v>
      </c>
      <c r="F11" s="5">
        <v>12.2</v>
      </c>
      <c r="G11" s="6">
        <f t="shared" si="0"/>
        <v>49.599999999999994</v>
      </c>
      <c r="H11" s="7">
        <f t="shared" si="1"/>
        <v>12.399999999999999</v>
      </c>
      <c r="I11" s="8" t="s">
        <v>85</v>
      </c>
      <c r="J11" s="8"/>
      <c r="K11" s="9">
        <f>SUMSQ(C14:F14)</f>
        <v>52566.22</v>
      </c>
      <c r="L11" s="6"/>
      <c r="M11" s="6"/>
      <c r="N11" s="4" t="s">
        <v>32</v>
      </c>
      <c r="O11" s="4">
        <v>4</v>
      </c>
      <c r="P11" s="4">
        <v>44.3</v>
      </c>
      <c r="Q11" s="4">
        <v>11.074999999999999</v>
      </c>
      <c r="R11" s="4">
        <v>2.1891666666666842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2:32" x14ac:dyDescent="0.25">
      <c r="B12" s="3">
        <v>9</v>
      </c>
      <c r="C12" s="5">
        <v>11.5</v>
      </c>
      <c r="D12" s="5">
        <v>12.9</v>
      </c>
      <c r="E12" s="5">
        <v>11.3</v>
      </c>
      <c r="F12" s="5">
        <v>10.3</v>
      </c>
      <c r="G12" s="6">
        <f t="shared" si="0"/>
        <v>46</v>
      </c>
      <c r="H12" s="7">
        <f t="shared" si="1"/>
        <v>11.5</v>
      </c>
      <c r="I12" s="8" t="s">
        <v>86</v>
      </c>
      <c r="J12" s="8"/>
      <c r="K12" s="9">
        <f>G14</f>
        <v>457.4</v>
      </c>
      <c r="L12" s="6"/>
      <c r="M12" s="6"/>
      <c r="N12" s="4" t="s">
        <v>33</v>
      </c>
      <c r="O12" s="4">
        <v>4</v>
      </c>
      <c r="P12" s="4">
        <v>42.099999999999994</v>
      </c>
      <c r="Q12" s="4">
        <v>10.524999999999999</v>
      </c>
      <c r="R12" s="4">
        <v>0.3091666666666672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2:32" x14ac:dyDescent="0.25">
      <c r="B13" s="3">
        <v>10</v>
      </c>
      <c r="C13" s="5">
        <v>11.7</v>
      </c>
      <c r="D13" s="5">
        <v>11.9</v>
      </c>
      <c r="E13" s="5">
        <v>11.3</v>
      </c>
      <c r="F13" s="5">
        <v>8.1999999999999993</v>
      </c>
      <c r="G13" s="6">
        <f t="shared" si="0"/>
        <v>43.100000000000009</v>
      </c>
      <c r="H13" s="7">
        <f t="shared" si="1"/>
        <v>10.775000000000002</v>
      </c>
      <c r="I13" s="8" t="s">
        <v>87</v>
      </c>
      <c r="J13" s="8"/>
      <c r="K13" s="6">
        <f>1/K5*K10-($K$12^2/$K$8)</f>
        <v>14.605999999999767</v>
      </c>
      <c r="L13" s="6"/>
      <c r="M13" s="6"/>
      <c r="N13" s="4" t="s">
        <v>34</v>
      </c>
      <c r="O13" s="4">
        <v>4</v>
      </c>
      <c r="P13" s="4">
        <v>49.599999999999994</v>
      </c>
      <c r="Q13" s="4">
        <v>12.399999999999999</v>
      </c>
      <c r="R13" s="4">
        <v>0.93333333333333435</v>
      </c>
      <c r="S13" s="4"/>
      <c r="T13" s="4"/>
      <c r="U13" s="4"/>
      <c r="V13" s="4"/>
      <c r="W13" s="4"/>
      <c r="X13" s="4"/>
      <c r="Y13" s="4"/>
      <c r="Z13" s="11"/>
      <c r="AA13" s="11"/>
      <c r="AB13" s="11"/>
      <c r="AC13" s="11"/>
      <c r="AD13" s="11"/>
      <c r="AE13" s="11"/>
      <c r="AF13" s="11"/>
    </row>
    <row r="14" spans="2:32" x14ac:dyDescent="0.25">
      <c r="B14" s="3" t="s">
        <v>9</v>
      </c>
      <c r="C14" s="3">
        <f>SUM(C4:C13)</f>
        <v>115.6</v>
      </c>
      <c r="D14" s="3">
        <f t="shared" ref="D14:F14" si="2">SUM(D4:D13)</f>
        <v>124.60000000000001</v>
      </c>
      <c r="E14" s="3">
        <f t="shared" si="2"/>
        <v>115.3</v>
      </c>
      <c r="F14" s="3">
        <f t="shared" si="2"/>
        <v>101.9</v>
      </c>
      <c r="G14" s="6">
        <f t="shared" si="0"/>
        <v>457.4</v>
      </c>
      <c r="H14" s="7"/>
      <c r="I14" s="2" t="s">
        <v>88</v>
      </c>
      <c r="K14" s="6">
        <f>1/K4*K11-($K$12^2/$K$8)</f>
        <v>26.253000000000611</v>
      </c>
      <c r="N14" s="4" t="s">
        <v>35</v>
      </c>
      <c r="O14" s="4">
        <v>4</v>
      </c>
      <c r="P14" s="4">
        <v>46</v>
      </c>
      <c r="Q14" s="4">
        <v>11.5</v>
      </c>
      <c r="R14" s="4">
        <v>1.1466666666666665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2:32" x14ac:dyDescent="0.25">
      <c r="B15" s="3" t="s">
        <v>46</v>
      </c>
      <c r="C15" s="3">
        <f>AVERAGE(C4:C13)</f>
        <v>11.559999999999999</v>
      </c>
      <c r="D15" s="3">
        <f t="shared" ref="D15:F15" si="3">AVERAGE(D4:D13)</f>
        <v>12.46</v>
      </c>
      <c r="E15" s="3">
        <f t="shared" si="3"/>
        <v>11.53</v>
      </c>
      <c r="F15" s="3">
        <f t="shared" si="3"/>
        <v>10.190000000000001</v>
      </c>
      <c r="H15" s="6">
        <f>AVERAGE(H4:H13)</f>
        <v>11.434999999999999</v>
      </c>
      <c r="I15" s="2" t="s">
        <v>89</v>
      </c>
      <c r="K15" s="6">
        <f>SUM(C23:F32)-(K12^2/K8)</f>
        <v>57.850999999999658</v>
      </c>
      <c r="N15" s="4" t="s">
        <v>36</v>
      </c>
      <c r="O15" s="4">
        <v>4</v>
      </c>
      <c r="P15" s="4">
        <v>43.100000000000009</v>
      </c>
      <c r="Q15" s="4">
        <v>10.775000000000002</v>
      </c>
      <c r="R15" s="4">
        <v>3.0091666666666015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2:32" x14ac:dyDescent="0.25">
      <c r="B16" s="12" t="s">
        <v>25</v>
      </c>
      <c r="I16" s="2" t="s">
        <v>90</v>
      </c>
      <c r="K16" s="6">
        <f>K15-K13-K14</f>
        <v>16.99199999999928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2:32" x14ac:dyDescent="0.25">
      <c r="B17" s="4"/>
      <c r="C17" s="3" t="s">
        <v>3</v>
      </c>
      <c r="D17" s="3" t="s">
        <v>4</v>
      </c>
      <c r="E17" s="3" t="s">
        <v>5</v>
      </c>
      <c r="F17" s="4"/>
      <c r="G17" s="4"/>
      <c r="H17" s="4"/>
      <c r="K17" s="13"/>
      <c r="L17" s="4"/>
      <c r="M17" s="4"/>
      <c r="N17" s="4" t="s">
        <v>12</v>
      </c>
      <c r="O17" s="4">
        <v>10</v>
      </c>
      <c r="P17" s="4">
        <v>115.6</v>
      </c>
      <c r="Q17" s="4">
        <v>11.559999999999999</v>
      </c>
      <c r="R17" s="4">
        <v>0.1693333333333332</v>
      </c>
      <c r="S17" s="4"/>
      <c r="T17" s="4"/>
      <c r="U17" s="11"/>
      <c r="V17" s="11"/>
      <c r="W17" s="11"/>
      <c r="X17" s="11"/>
      <c r="Y17" s="11"/>
      <c r="Z17" s="4"/>
      <c r="AA17" s="4"/>
      <c r="AB17" s="4"/>
      <c r="AC17" s="4"/>
      <c r="AD17" s="4"/>
      <c r="AE17" s="4"/>
      <c r="AF17" s="4"/>
    </row>
    <row r="18" spans="2:32" x14ac:dyDescent="0.25">
      <c r="B18" s="3" t="s">
        <v>2</v>
      </c>
      <c r="C18" s="4">
        <f>AVERAGE($C$4:$C$13)-AVERAGE(D4:D13)</f>
        <v>-0.90000000000000213</v>
      </c>
      <c r="D18" s="4">
        <f>AVERAGE($C$4:$C$13)-AVERAGE(E4:E13)</f>
        <v>2.9999999999999361E-2</v>
      </c>
      <c r="E18" s="4">
        <f>AVERAGE($C$4:$C$13)-AVERAGE(F4:F13)</f>
        <v>1.3699999999999974</v>
      </c>
      <c r="F18" s="4"/>
      <c r="G18" s="4"/>
      <c r="H18" s="4"/>
      <c r="I18" s="2" t="s">
        <v>91</v>
      </c>
      <c r="K18" s="14">
        <f>(K13/$K$6)/(K16/($K$6*K7))</f>
        <v>2.5787429378531757</v>
      </c>
      <c r="L18" s="4"/>
      <c r="M18" s="4"/>
      <c r="N18" s="4" t="s">
        <v>13</v>
      </c>
      <c r="O18" s="4">
        <v>10</v>
      </c>
      <c r="P18" s="4">
        <v>124.60000000000001</v>
      </c>
      <c r="Q18" s="4">
        <v>12.46</v>
      </c>
      <c r="R18" s="4">
        <v>0.98488888888888959</v>
      </c>
      <c r="S18" s="4"/>
      <c r="T18" s="4"/>
      <c r="U18" s="4"/>
      <c r="V18" s="4"/>
      <c r="W18" s="4"/>
      <c r="X18" s="4"/>
      <c r="Y18" s="4"/>
    </row>
    <row r="19" spans="2:32" x14ac:dyDescent="0.25">
      <c r="B19" s="3" t="s">
        <v>3</v>
      </c>
      <c r="C19" s="4"/>
      <c r="D19" s="4">
        <f>AVERAGE($D$4:$D$13)-AVERAGE(E4:E13)</f>
        <v>0.93000000000000149</v>
      </c>
      <c r="E19" s="4">
        <f>AVERAGE($D$4:$D$13)-AVERAGE(F4:F13)</f>
        <v>2.2699999999999996</v>
      </c>
      <c r="F19" s="4"/>
      <c r="G19" s="4"/>
      <c r="H19" s="4"/>
      <c r="I19" s="2" t="s">
        <v>92</v>
      </c>
      <c r="K19" s="14">
        <f>(K14/K7)/(K16/(K6*K7))</f>
        <v>13.905190677967015</v>
      </c>
      <c r="L19" s="4"/>
      <c r="M19" s="4"/>
      <c r="N19" s="4" t="s">
        <v>23</v>
      </c>
      <c r="O19" s="4">
        <v>10</v>
      </c>
      <c r="P19" s="4">
        <v>115.3</v>
      </c>
      <c r="Q19" s="4">
        <v>11.53</v>
      </c>
      <c r="R19" s="4">
        <v>0.11566666666666656</v>
      </c>
      <c r="S19" s="4"/>
      <c r="T19" s="4"/>
      <c r="U19" s="4"/>
      <c r="V19" s="4"/>
      <c r="W19" s="4"/>
      <c r="X19" s="4"/>
      <c r="Y19" s="4"/>
    </row>
    <row r="20" spans="2:32" ht="15.75" thickBot="1" x14ac:dyDescent="0.3">
      <c r="B20" s="11" t="s">
        <v>4</v>
      </c>
      <c r="C20" s="11"/>
      <c r="D20" s="11"/>
      <c r="E20" s="15">
        <f>AVERAGE(E4:E13)-AVERAGE(F4:F13)</f>
        <v>1.3399999999999981</v>
      </c>
      <c r="F20" s="11"/>
      <c r="G20" s="4"/>
      <c r="H20" s="4"/>
      <c r="K20" s="13"/>
      <c r="L20" s="4" t="s">
        <v>44</v>
      </c>
      <c r="M20" s="4"/>
      <c r="N20" s="16" t="s">
        <v>24</v>
      </c>
      <c r="O20" s="16">
        <v>10</v>
      </c>
      <c r="P20" s="16">
        <v>101.9</v>
      </c>
      <c r="Q20" s="16">
        <v>10.190000000000001</v>
      </c>
      <c r="R20" s="16">
        <v>2.2409999999999854</v>
      </c>
      <c r="S20" s="4"/>
      <c r="T20" s="4"/>
      <c r="U20" s="4"/>
      <c r="V20" s="4"/>
      <c r="W20" s="4"/>
      <c r="X20" s="4"/>
      <c r="Y20" s="4"/>
    </row>
    <row r="21" spans="2:32" x14ac:dyDescent="0.25">
      <c r="B21" s="11"/>
      <c r="C21" s="11"/>
      <c r="D21" s="11"/>
      <c r="E21" s="15"/>
      <c r="F21" s="11"/>
      <c r="G21" s="4"/>
      <c r="H21" s="4"/>
      <c r="K21" s="13"/>
      <c r="L21" s="4" t="s">
        <v>93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32" x14ac:dyDescent="0.25">
      <c r="B22" s="4"/>
      <c r="C22" s="4"/>
      <c r="D22" s="4"/>
      <c r="E22" s="4"/>
      <c r="F22" s="4"/>
      <c r="G22" s="4"/>
      <c r="H22" s="4"/>
      <c r="I22" s="2" t="s">
        <v>94</v>
      </c>
      <c r="K22" s="14">
        <f>_xlfn.F.INV(0.95,9,27)</f>
        <v>2.250131477202665</v>
      </c>
      <c r="L22" s="9">
        <f>K6</f>
        <v>9</v>
      </c>
      <c r="M22" s="3">
        <f>L23*L22</f>
        <v>27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32" x14ac:dyDescent="0.25">
      <c r="B23" s="4" t="s">
        <v>43</v>
      </c>
      <c r="C23" s="3">
        <f>C4^2</f>
        <v>127.69000000000001</v>
      </c>
      <c r="D23" s="3">
        <f t="shared" ref="D23:F23" si="4">D4^2</f>
        <v>125.43999999999998</v>
      </c>
      <c r="E23" s="3">
        <f t="shared" si="4"/>
        <v>129.96</v>
      </c>
      <c r="F23" s="3">
        <f t="shared" si="4"/>
        <v>121</v>
      </c>
      <c r="G23" s="4"/>
      <c r="H23" s="4"/>
      <c r="I23" s="2" t="s">
        <v>95</v>
      </c>
      <c r="K23" s="14">
        <f>_xlfn.F.INV(0.95,3,27)</f>
        <v>2.9603513184112873</v>
      </c>
      <c r="L23" s="9">
        <f>K7</f>
        <v>3</v>
      </c>
      <c r="M23" s="3">
        <f>M22</f>
        <v>27</v>
      </c>
      <c r="N23" s="4"/>
      <c r="O23" s="4"/>
      <c r="P23" s="4"/>
      <c r="Q23" s="4"/>
      <c r="R23" s="4"/>
      <c r="S23" s="4"/>
      <c r="T23" s="4"/>
      <c r="U23" s="4"/>
    </row>
    <row r="24" spans="2:32" ht="15.75" thickBot="1" x14ac:dyDescent="0.3">
      <c r="B24" s="4"/>
      <c r="C24" s="3">
        <f t="shared" ref="C24:F32" si="5">C5^2</f>
        <v>141.61000000000001</v>
      </c>
      <c r="D24" s="3">
        <f t="shared" si="5"/>
        <v>146.41</v>
      </c>
      <c r="E24" s="3">
        <f t="shared" si="5"/>
        <v>139.24</v>
      </c>
      <c r="F24" s="3">
        <f t="shared" si="5"/>
        <v>90.25</v>
      </c>
      <c r="G24" s="4"/>
      <c r="H24" s="4"/>
      <c r="K24" s="13"/>
      <c r="L24" s="4"/>
      <c r="M24" s="4"/>
      <c r="N24" s="4" t="s">
        <v>14</v>
      </c>
      <c r="O24" s="4"/>
      <c r="P24" s="4"/>
      <c r="Q24" s="4"/>
      <c r="R24" s="4"/>
      <c r="S24" s="4"/>
      <c r="T24" s="4"/>
      <c r="U24" s="4"/>
    </row>
    <row r="25" spans="2:32" x14ac:dyDescent="0.25">
      <c r="B25" s="4"/>
      <c r="C25" s="3">
        <f t="shared" si="5"/>
        <v>139.24</v>
      </c>
      <c r="D25" s="3">
        <f t="shared" si="5"/>
        <v>174.23999999999998</v>
      </c>
      <c r="E25" s="3">
        <f t="shared" si="5"/>
        <v>144</v>
      </c>
      <c r="F25" s="3">
        <f t="shared" si="5"/>
        <v>123.21</v>
      </c>
      <c r="G25" s="4"/>
      <c r="H25" s="4"/>
      <c r="I25" s="21" t="s">
        <v>102</v>
      </c>
      <c r="J25" s="1"/>
      <c r="K25" s="13" t="s">
        <v>101</v>
      </c>
      <c r="L25" s="4"/>
      <c r="M25" s="4"/>
      <c r="N25" s="10" t="s">
        <v>15</v>
      </c>
      <c r="O25" s="10" t="s">
        <v>16</v>
      </c>
      <c r="P25" s="10" t="s">
        <v>17</v>
      </c>
      <c r="Q25" s="10" t="s">
        <v>18</v>
      </c>
      <c r="R25" s="10" t="s">
        <v>19</v>
      </c>
      <c r="S25" s="10" t="s">
        <v>20</v>
      </c>
      <c r="T25" s="10" t="s">
        <v>21</v>
      </c>
      <c r="U25" s="4"/>
    </row>
    <row r="26" spans="2:32" x14ac:dyDescent="0.25">
      <c r="B26" s="4"/>
      <c r="C26" s="3">
        <f t="shared" si="5"/>
        <v>146.41</v>
      </c>
      <c r="D26" s="3">
        <f t="shared" si="5"/>
        <v>163.84000000000003</v>
      </c>
      <c r="E26" s="3">
        <f t="shared" si="5"/>
        <v>144</v>
      </c>
      <c r="F26" s="3">
        <f t="shared" si="5"/>
        <v>156.25</v>
      </c>
      <c r="G26" s="4"/>
      <c r="H26" s="4"/>
      <c r="I26" s="1" t="s">
        <v>96</v>
      </c>
      <c r="J26" s="1"/>
      <c r="K26" s="13" t="s">
        <v>45</v>
      </c>
      <c r="L26" s="4"/>
      <c r="M26" s="4"/>
      <c r="N26" s="4" t="s">
        <v>37</v>
      </c>
      <c r="O26" s="4">
        <v>14.606000000000016</v>
      </c>
      <c r="P26" s="4">
        <v>9</v>
      </c>
      <c r="Q26" s="4">
        <v>1.6228888888888906</v>
      </c>
      <c r="R26" s="4">
        <v>2.5787429378531126</v>
      </c>
      <c r="S26" s="4">
        <v>2.7464186801760822E-2</v>
      </c>
      <c r="T26" s="4">
        <v>2.250131477202665</v>
      </c>
      <c r="U26" s="4"/>
    </row>
    <row r="27" spans="2:32" x14ac:dyDescent="0.25">
      <c r="B27" s="4"/>
      <c r="C27" s="3">
        <f t="shared" si="5"/>
        <v>125.43999999999998</v>
      </c>
      <c r="D27" s="3">
        <f t="shared" si="5"/>
        <v>182.25</v>
      </c>
      <c r="E27" s="3">
        <f t="shared" si="5"/>
        <v>132.25</v>
      </c>
      <c r="F27" s="3">
        <f t="shared" si="5"/>
        <v>70.56</v>
      </c>
      <c r="G27" s="4"/>
      <c r="H27" s="4"/>
      <c r="K27" s="4"/>
      <c r="L27" s="4"/>
      <c r="M27" s="4"/>
      <c r="N27" s="4" t="s">
        <v>38</v>
      </c>
      <c r="O27" s="4">
        <v>26.253000000000021</v>
      </c>
      <c r="P27" s="4">
        <v>3</v>
      </c>
      <c r="Q27" s="4">
        <v>8.7510000000000066</v>
      </c>
      <c r="R27" s="4">
        <v>13.905190677966125</v>
      </c>
      <c r="S27" s="4">
        <v>1.1313121184446053E-5</v>
      </c>
      <c r="T27" s="4">
        <v>2.9603513184112873</v>
      </c>
      <c r="U27" s="11"/>
    </row>
    <row r="28" spans="2:32" x14ac:dyDescent="0.25">
      <c r="B28" s="11"/>
      <c r="C28" s="3">
        <f t="shared" si="5"/>
        <v>127.69000000000001</v>
      </c>
      <c r="D28" s="3">
        <f t="shared" si="5"/>
        <v>156.25</v>
      </c>
      <c r="E28" s="3">
        <f t="shared" si="5"/>
        <v>132.25</v>
      </c>
      <c r="F28" s="3">
        <f t="shared" si="5"/>
        <v>81</v>
      </c>
      <c r="G28" s="11"/>
      <c r="H28" s="11"/>
      <c r="I28" s="1" t="s">
        <v>97</v>
      </c>
      <c r="J28" s="1"/>
      <c r="K28" s="17">
        <f>1-_xlfn.F.DIST(K18,L22,M22,TRUE)</f>
        <v>2.7464186801757773E-2</v>
      </c>
      <c r="L28" s="18"/>
      <c r="M28" s="11"/>
      <c r="N28" s="4" t="s">
        <v>39</v>
      </c>
      <c r="O28" s="4">
        <v>16.991999999999983</v>
      </c>
      <c r="P28" s="4">
        <v>27</v>
      </c>
      <c r="Q28" s="4">
        <v>0.62933333333333275</v>
      </c>
      <c r="R28" s="4"/>
      <c r="S28" s="4"/>
      <c r="T28" s="4"/>
      <c r="U28" s="4"/>
    </row>
    <row r="29" spans="2:32" x14ac:dyDescent="0.25">
      <c r="B29" s="4"/>
      <c r="C29" s="3">
        <f t="shared" si="5"/>
        <v>116.64000000000001</v>
      </c>
      <c r="D29" s="3">
        <f t="shared" si="5"/>
        <v>114.48999999999998</v>
      </c>
      <c r="E29" s="3">
        <f t="shared" si="5"/>
        <v>118.81</v>
      </c>
      <c r="F29" s="3">
        <f t="shared" si="5"/>
        <v>94.089999999999989</v>
      </c>
      <c r="G29" s="4"/>
      <c r="H29" s="4"/>
      <c r="I29" s="2" t="s">
        <v>98</v>
      </c>
      <c r="K29" s="17">
        <f>1-_xlfn.F.DIST(K19,L23,M23,TRUE)</f>
        <v>1.1313121184519659E-5</v>
      </c>
      <c r="L29" s="18"/>
      <c r="M29" s="4"/>
      <c r="N29" s="4"/>
      <c r="O29" s="4"/>
      <c r="P29" s="4"/>
      <c r="Q29" s="4"/>
      <c r="R29" s="4"/>
      <c r="S29" s="4"/>
      <c r="T29" s="4"/>
      <c r="U29" s="4"/>
    </row>
    <row r="30" spans="2:32" ht="15.75" thickBot="1" x14ac:dyDescent="0.3">
      <c r="B30" s="4"/>
      <c r="C30" s="3">
        <f t="shared" si="5"/>
        <v>144</v>
      </c>
      <c r="D30" s="3">
        <f t="shared" si="5"/>
        <v>190.44000000000003</v>
      </c>
      <c r="E30" s="3">
        <f t="shared" si="5"/>
        <v>134.56</v>
      </c>
      <c r="F30" s="3">
        <f t="shared" si="5"/>
        <v>148.83999999999997</v>
      </c>
      <c r="G30" s="4"/>
      <c r="H30" s="4"/>
      <c r="I30" s="2" t="s">
        <v>99</v>
      </c>
      <c r="K30" s="4" t="s">
        <v>100</v>
      </c>
      <c r="L30" s="4"/>
      <c r="M30" s="4"/>
      <c r="N30" s="16" t="s">
        <v>22</v>
      </c>
      <c r="O30" s="16">
        <v>57.85100000000002</v>
      </c>
      <c r="P30" s="16">
        <v>39</v>
      </c>
      <c r="Q30" s="16"/>
      <c r="R30" s="16"/>
      <c r="S30" s="16"/>
      <c r="T30" s="16"/>
      <c r="U30" s="4"/>
    </row>
    <row r="31" spans="2:32" x14ac:dyDescent="0.25">
      <c r="B31" s="4"/>
      <c r="C31" s="3">
        <f t="shared" si="5"/>
        <v>132.25</v>
      </c>
      <c r="D31" s="3">
        <f t="shared" si="5"/>
        <v>166.41</v>
      </c>
      <c r="E31" s="3">
        <f t="shared" si="5"/>
        <v>127.69000000000001</v>
      </c>
      <c r="F31" s="3">
        <f t="shared" si="5"/>
        <v>106.09000000000002</v>
      </c>
      <c r="G31" s="4"/>
      <c r="H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32" x14ac:dyDescent="0.25">
      <c r="B32" s="4"/>
      <c r="C32" s="3">
        <f t="shared" si="5"/>
        <v>136.88999999999999</v>
      </c>
      <c r="D32" s="3">
        <f t="shared" si="5"/>
        <v>141.61000000000001</v>
      </c>
      <c r="E32" s="3">
        <f t="shared" si="5"/>
        <v>127.69000000000001</v>
      </c>
      <c r="F32" s="3">
        <f t="shared" si="5"/>
        <v>67.239999999999995</v>
      </c>
      <c r="G32" s="4"/>
      <c r="H32" s="4"/>
      <c r="K32" s="4"/>
      <c r="L32" s="4"/>
      <c r="M32" s="4"/>
      <c r="N32" s="4" t="s">
        <v>53</v>
      </c>
      <c r="O32" s="4"/>
      <c r="P32" s="4"/>
      <c r="Q32" s="4"/>
      <c r="R32" s="4"/>
      <c r="S32" s="4"/>
      <c r="T32" s="4"/>
    </row>
    <row r="33" spans="2:20" ht="15.75" thickBot="1" x14ac:dyDescent="0.3">
      <c r="N33" s="4"/>
      <c r="O33" s="4"/>
      <c r="P33" s="4"/>
      <c r="Q33" s="4"/>
      <c r="R33" s="4"/>
      <c r="S33" s="4"/>
      <c r="T33" s="4"/>
    </row>
    <row r="34" spans="2:20" x14ac:dyDescent="0.25">
      <c r="B34" s="3" t="s">
        <v>47</v>
      </c>
      <c r="D34" s="3">
        <v>0.05</v>
      </c>
      <c r="E34" s="3">
        <v>0.01</v>
      </c>
      <c r="N34" s="10" t="s">
        <v>54</v>
      </c>
      <c r="O34" s="10" t="s">
        <v>55</v>
      </c>
      <c r="P34" s="10" t="s">
        <v>56</v>
      </c>
      <c r="Q34" s="10" t="s">
        <v>57</v>
      </c>
      <c r="R34" s="10" t="s">
        <v>58</v>
      </c>
      <c r="S34" s="4"/>
      <c r="T34" s="4"/>
    </row>
    <row r="35" spans="2:20" x14ac:dyDescent="0.25">
      <c r="B35" s="7" t="s">
        <v>48</v>
      </c>
      <c r="C35" s="7" t="s">
        <v>49</v>
      </c>
      <c r="D35" s="6">
        <v>3.875</v>
      </c>
      <c r="E35" s="7">
        <v>4.8499999999999996</v>
      </c>
      <c r="F35" s="7"/>
      <c r="N35" s="4" t="s">
        <v>59</v>
      </c>
      <c r="O35" s="4">
        <v>4</v>
      </c>
      <c r="P35" s="4">
        <v>44.9</v>
      </c>
      <c r="Q35" s="4">
        <v>11.225</v>
      </c>
      <c r="R35" s="4">
        <v>2.9166666666666757E-2</v>
      </c>
      <c r="S35" s="4"/>
      <c r="T35" s="4"/>
    </row>
    <row r="36" spans="2:20" x14ac:dyDescent="0.25">
      <c r="B36" s="7" t="s">
        <v>50</v>
      </c>
      <c r="C36" s="7">
        <f>SQRT(1/10)</f>
        <v>0.31622776601683794</v>
      </c>
      <c r="D36" s="7"/>
      <c r="E36" s="7"/>
      <c r="F36" s="7"/>
      <c r="N36" s="4" t="s">
        <v>60</v>
      </c>
      <c r="O36" s="4">
        <v>4</v>
      </c>
      <c r="P36" s="4">
        <v>45.3</v>
      </c>
      <c r="Q36" s="4">
        <v>11.324999999999999</v>
      </c>
      <c r="R36" s="4">
        <v>1.4958333333333336</v>
      </c>
      <c r="S36" s="4"/>
      <c r="T36" s="4"/>
    </row>
    <row r="37" spans="2:20" x14ac:dyDescent="0.25">
      <c r="B37" s="19" t="s">
        <v>52</v>
      </c>
      <c r="C37" s="7">
        <f>K16/27</f>
        <v>0.62933333333330665</v>
      </c>
      <c r="D37" s="7"/>
      <c r="E37" s="7"/>
      <c r="F37" s="7"/>
      <c r="N37" s="4" t="s">
        <v>61</v>
      </c>
      <c r="O37" s="4">
        <v>4</v>
      </c>
      <c r="P37" s="4">
        <v>48.1</v>
      </c>
      <c r="Q37" s="4">
        <v>12.025</v>
      </c>
      <c r="R37" s="4">
        <v>0.76249999999999962</v>
      </c>
      <c r="S37" s="4"/>
      <c r="T37" s="4"/>
    </row>
    <row r="38" spans="2:20" x14ac:dyDescent="0.25">
      <c r="B38" s="7" t="s">
        <v>51</v>
      </c>
      <c r="C38" s="7">
        <f>SQRT(C37)</f>
        <v>0.79330532163430412</v>
      </c>
      <c r="D38" s="20">
        <f>C38*C36*D35</f>
        <v>0.97210253231502963</v>
      </c>
      <c r="E38" s="7">
        <f>E35*C36*C38</f>
        <v>1.2166960727039726</v>
      </c>
      <c r="F38" s="7"/>
      <c r="N38" s="4" t="s">
        <v>62</v>
      </c>
      <c r="O38" s="4">
        <v>4</v>
      </c>
      <c r="P38" s="4">
        <v>49.4</v>
      </c>
      <c r="Q38" s="4">
        <v>12.35</v>
      </c>
      <c r="R38" s="4">
        <v>0.13666666666666696</v>
      </c>
      <c r="S38" s="4"/>
      <c r="T38" s="4"/>
    </row>
    <row r="39" spans="2:20" x14ac:dyDescent="0.25">
      <c r="B39" s="7"/>
      <c r="C39" s="7"/>
      <c r="D39" s="7"/>
      <c r="E39" s="7"/>
      <c r="F39" s="7"/>
      <c r="N39" s="4" t="s">
        <v>63</v>
      </c>
      <c r="O39" s="4">
        <v>4</v>
      </c>
      <c r="P39" s="4">
        <v>44.6</v>
      </c>
      <c r="Q39" s="4">
        <v>11.15</v>
      </c>
      <c r="R39" s="4">
        <v>4.4033333333333262</v>
      </c>
      <c r="S39" s="4"/>
      <c r="T39" s="4"/>
    </row>
    <row r="40" spans="2:20" x14ac:dyDescent="0.25">
      <c r="B40" s="7"/>
      <c r="C40" s="7"/>
      <c r="D40" s="7"/>
      <c r="E40" s="7"/>
      <c r="F40" s="7"/>
      <c r="N40" s="4" t="s">
        <v>64</v>
      </c>
      <c r="O40" s="4">
        <v>4</v>
      </c>
      <c r="P40" s="4">
        <v>44.3</v>
      </c>
      <c r="Q40" s="4">
        <v>11.074999999999999</v>
      </c>
      <c r="R40" s="4">
        <v>2.1891666666666842</v>
      </c>
      <c r="S40" s="4"/>
      <c r="T40" s="4"/>
    </row>
    <row r="41" spans="2:20" x14ac:dyDescent="0.25">
      <c r="B41" s="7"/>
      <c r="C41" s="7"/>
      <c r="D41" s="7"/>
      <c r="E41" s="7"/>
      <c r="F41" s="7"/>
      <c r="N41" s="4" t="s">
        <v>65</v>
      </c>
      <c r="O41" s="4">
        <v>4</v>
      </c>
      <c r="P41" s="4">
        <v>42.099999999999994</v>
      </c>
      <c r="Q41" s="4">
        <v>10.524999999999999</v>
      </c>
      <c r="R41" s="4">
        <v>0.3091666666666672</v>
      </c>
      <c r="S41" s="4"/>
      <c r="T41" s="4"/>
    </row>
    <row r="42" spans="2:20" x14ac:dyDescent="0.25">
      <c r="B42" s="7"/>
      <c r="C42" s="7"/>
      <c r="D42" s="7"/>
      <c r="E42" s="7"/>
      <c r="F42" s="7"/>
      <c r="N42" s="4" t="s">
        <v>66</v>
      </c>
      <c r="O42" s="4">
        <v>4</v>
      </c>
      <c r="P42" s="4">
        <v>49.599999999999994</v>
      </c>
      <c r="Q42" s="4">
        <v>12.399999999999999</v>
      </c>
      <c r="R42" s="4">
        <v>0.93333333333333435</v>
      </c>
      <c r="S42" s="4"/>
      <c r="T42" s="4"/>
    </row>
    <row r="43" spans="2:20" x14ac:dyDescent="0.25">
      <c r="B43" s="7"/>
      <c r="C43" s="7"/>
      <c r="D43" s="7"/>
      <c r="E43" s="7"/>
      <c r="F43" s="7"/>
      <c r="N43" s="4" t="s">
        <v>67</v>
      </c>
      <c r="O43" s="4">
        <v>4</v>
      </c>
      <c r="P43" s="4">
        <v>46</v>
      </c>
      <c r="Q43" s="4">
        <v>11.5</v>
      </c>
      <c r="R43" s="4">
        <v>1.1466666666666665</v>
      </c>
      <c r="S43" s="4"/>
      <c r="T43" s="4"/>
    </row>
    <row r="44" spans="2:20" x14ac:dyDescent="0.25">
      <c r="B44" s="7"/>
      <c r="C44" s="7"/>
      <c r="D44" s="7"/>
      <c r="E44" s="7"/>
      <c r="F44" s="7"/>
      <c r="N44" s="4" t="s">
        <v>68</v>
      </c>
      <c r="O44" s="4">
        <v>4</v>
      </c>
      <c r="P44" s="4">
        <v>43.100000000000009</v>
      </c>
      <c r="Q44" s="4">
        <v>10.775000000000002</v>
      </c>
      <c r="R44" s="4">
        <v>3.0091666666666015</v>
      </c>
      <c r="S44" s="4"/>
      <c r="T44" s="4"/>
    </row>
    <row r="45" spans="2:20" x14ac:dyDescent="0.25">
      <c r="N45" s="4"/>
      <c r="O45" s="4"/>
      <c r="P45" s="4"/>
      <c r="Q45" s="4"/>
      <c r="R45" s="4"/>
      <c r="S45" s="4"/>
      <c r="T45" s="4"/>
    </row>
    <row r="46" spans="2:20" x14ac:dyDescent="0.25">
      <c r="N46" s="4" t="s">
        <v>69</v>
      </c>
      <c r="O46" s="4">
        <v>10</v>
      </c>
      <c r="P46" s="4">
        <v>115.6</v>
      </c>
      <c r="Q46" s="4">
        <v>11.559999999999999</v>
      </c>
      <c r="R46" s="4">
        <v>0.1693333333333332</v>
      </c>
      <c r="S46" s="4"/>
      <c r="T46" s="4"/>
    </row>
    <row r="47" spans="2:20" x14ac:dyDescent="0.25">
      <c r="N47" s="4" t="s">
        <v>70</v>
      </c>
      <c r="O47" s="4">
        <v>10</v>
      </c>
      <c r="P47" s="4">
        <v>124.60000000000001</v>
      </c>
      <c r="Q47" s="4">
        <v>12.46</v>
      </c>
      <c r="R47" s="4">
        <v>0.98488888888888959</v>
      </c>
      <c r="S47" s="4"/>
      <c r="T47" s="4"/>
    </row>
    <row r="48" spans="2:20" x14ac:dyDescent="0.25">
      <c r="N48" s="4" t="s">
        <v>71</v>
      </c>
      <c r="O48" s="4">
        <v>10</v>
      </c>
      <c r="P48" s="4">
        <v>115.3</v>
      </c>
      <c r="Q48" s="4">
        <v>11.53</v>
      </c>
      <c r="R48" s="4">
        <v>0.11566666666666656</v>
      </c>
      <c r="S48" s="4"/>
      <c r="T48" s="4"/>
    </row>
    <row r="49" spans="14:20" ht="15.75" thickBot="1" x14ac:dyDescent="0.3">
      <c r="N49" s="16" t="s">
        <v>72</v>
      </c>
      <c r="O49" s="16">
        <v>10</v>
      </c>
      <c r="P49" s="16">
        <v>101.9</v>
      </c>
      <c r="Q49" s="16">
        <v>10.190000000000001</v>
      </c>
      <c r="R49" s="16">
        <v>2.2409999999999854</v>
      </c>
      <c r="S49" s="4"/>
      <c r="T49" s="4"/>
    </row>
    <row r="50" spans="14:20" x14ac:dyDescent="0.25">
      <c r="N50" s="4"/>
      <c r="O50" s="4"/>
      <c r="P50" s="4"/>
      <c r="Q50" s="4"/>
      <c r="R50" s="4"/>
      <c r="S50" s="4"/>
      <c r="T50" s="4"/>
    </row>
    <row r="51" spans="14:20" x14ac:dyDescent="0.25">
      <c r="N51" s="4"/>
      <c r="O51" s="4"/>
      <c r="P51" s="4"/>
      <c r="Q51" s="4"/>
      <c r="R51" s="4"/>
      <c r="S51" s="4"/>
      <c r="T51" s="4"/>
    </row>
    <row r="52" spans="14:20" ht="15.75" thickBot="1" x14ac:dyDescent="0.3">
      <c r="N52" s="4" t="s">
        <v>14</v>
      </c>
      <c r="O52" s="4"/>
      <c r="P52" s="4"/>
      <c r="Q52" s="4"/>
      <c r="R52" s="4"/>
      <c r="S52" s="4"/>
      <c r="T52" s="4"/>
    </row>
    <row r="53" spans="14:20" x14ac:dyDescent="0.25">
      <c r="N53" s="10" t="s">
        <v>73</v>
      </c>
      <c r="O53" s="10" t="s">
        <v>16</v>
      </c>
      <c r="P53" s="10" t="s">
        <v>74</v>
      </c>
      <c r="Q53" s="10" t="s">
        <v>18</v>
      </c>
      <c r="R53" s="10" t="s">
        <v>19</v>
      </c>
      <c r="S53" s="10" t="s">
        <v>75</v>
      </c>
      <c r="T53" s="10" t="s">
        <v>76</v>
      </c>
    </row>
    <row r="54" spans="14:20" x14ac:dyDescent="0.25">
      <c r="N54" s="4" t="s">
        <v>77</v>
      </c>
      <c r="O54" s="4">
        <v>14.606000000000016</v>
      </c>
      <c r="P54" s="4">
        <v>9</v>
      </c>
      <c r="Q54" s="4">
        <v>1.6228888888888906</v>
      </c>
      <c r="R54" s="4">
        <v>2.5787429378531126</v>
      </c>
      <c r="S54" s="4">
        <v>2.7464186801760822E-2</v>
      </c>
      <c r="T54" s="4">
        <v>2.250131477202665</v>
      </c>
    </row>
    <row r="55" spans="14:20" x14ac:dyDescent="0.25">
      <c r="N55" s="4" t="s">
        <v>78</v>
      </c>
      <c r="O55" s="4">
        <v>26.253000000000021</v>
      </c>
      <c r="P55" s="4">
        <v>3</v>
      </c>
      <c r="Q55" s="4">
        <v>8.7510000000000066</v>
      </c>
      <c r="R55" s="4">
        <v>13.905190677966125</v>
      </c>
      <c r="S55" s="4">
        <v>1.1313121184446053E-5</v>
      </c>
      <c r="T55" s="4">
        <v>2.9603513184112873</v>
      </c>
    </row>
    <row r="56" spans="14:20" x14ac:dyDescent="0.25">
      <c r="N56" s="4" t="s">
        <v>79</v>
      </c>
      <c r="O56" s="4">
        <v>16.991999999999983</v>
      </c>
      <c r="P56" s="4">
        <v>27</v>
      </c>
      <c r="Q56" s="4">
        <v>0.62933333333333275</v>
      </c>
      <c r="R56" s="4"/>
      <c r="S56" s="4"/>
      <c r="T56" s="4"/>
    </row>
    <row r="57" spans="14:20" x14ac:dyDescent="0.25">
      <c r="N57" s="4"/>
      <c r="O57" s="4"/>
      <c r="P57" s="4"/>
      <c r="Q57" s="4"/>
      <c r="R57" s="4"/>
      <c r="S57" s="4"/>
      <c r="T57" s="4"/>
    </row>
    <row r="58" spans="14:20" ht="15.75" thickBot="1" x14ac:dyDescent="0.3">
      <c r="N58" s="16" t="s">
        <v>80</v>
      </c>
      <c r="O58" s="16">
        <v>57.85100000000002</v>
      </c>
      <c r="P58" s="16">
        <v>39</v>
      </c>
      <c r="Q58" s="16"/>
      <c r="R58" s="16"/>
      <c r="S58" s="16"/>
      <c r="T58" s="16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2026-07-22T07:30:07Z</dcterms:modified>
</cp:coreProperties>
</file>